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emi/Downloads/"/>
    </mc:Choice>
  </mc:AlternateContent>
  <xr:revisionPtr revIDLastSave="0" documentId="8_{319984D8-7EC6-A24F-A2BF-13BEB1A03727}" xr6:coauthVersionLast="47" xr6:coauthVersionMax="47" xr10:uidLastSave="{00000000-0000-0000-0000-000000000000}"/>
  <bookViews>
    <workbookView xWindow="0" yWindow="0" windowWidth="28800" windowHeight="18000" xr2:uid="{1292DAF3-A036-9940-91DE-2B282DE5F01D}"/>
  </bookViews>
  <sheets>
    <sheet name="DCF" sheetId="1" r:id="rId1"/>
    <sheet name="WACC" sheetId="2" r:id="rId2"/>
  </sheet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F4" i="1"/>
  <c r="H74" i="1"/>
  <c r="H72" i="1"/>
  <c r="H69" i="1"/>
  <c r="H68" i="1"/>
  <c r="H67" i="1"/>
  <c r="H66" i="1"/>
  <c r="M65" i="1"/>
  <c r="L65" i="1"/>
  <c r="K65" i="1"/>
  <c r="J65" i="1"/>
  <c r="I65" i="1"/>
  <c r="H65" i="1"/>
  <c r="B26" i="2"/>
  <c r="B25" i="2"/>
  <c r="B24" i="2"/>
  <c r="B19" i="2"/>
  <c r="B18" i="2"/>
  <c r="B11" i="2"/>
  <c r="M64" i="1"/>
  <c r="L64" i="1"/>
  <c r="K64" i="1"/>
  <c r="J64" i="1"/>
  <c r="I64" i="1"/>
  <c r="H64" i="1"/>
  <c r="M62" i="1"/>
  <c r="L62" i="1"/>
  <c r="K62" i="1"/>
  <c r="J62" i="1"/>
  <c r="I62" i="1"/>
  <c r="H62" i="1"/>
  <c r="G62" i="1"/>
  <c r="F62" i="1"/>
  <c r="E62" i="1"/>
  <c r="D62" i="1"/>
  <c r="M61" i="1"/>
  <c r="L61" i="1"/>
  <c r="K61" i="1"/>
  <c r="J61" i="1"/>
  <c r="I61" i="1"/>
  <c r="H61" i="1"/>
  <c r="G61" i="1"/>
  <c r="F61" i="1"/>
  <c r="E61" i="1"/>
  <c r="D61" i="1"/>
  <c r="M59" i="1"/>
  <c r="L59" i="1"/>
  <c r="K59" i="1"/>
  <c r="J59" i="1"/>
  <c r="I59" i="1"/>
  <c r="H59" i="1"/>
  <c r="G59" i="1"/>
  <c r="F59" i="1"/>
  <c r="E59" i="1"/>
  <c r="D59" i="1"/>
  <c r="M58" i="1"/>
  <c r="L58" i="1"/>
  <c r="K58" i="1"/>
  <c r="J58" i="1"/>
  <c r="I58" i="1"/>
  <c r="H58" i="1"/>
  <c r="G58" i="1"/>
  <c r="F58" i="1"/>
  <c r="E58" i="1"/>
  <c r="D58" i="1"/>
  <c r="M56" i="1"/>
  <c r="L56" i="1"/>
  <c r="K56" i="1"/>
  <c r="J56" i="1"/>
  <c r="I56" i="1"/>
  <c r="H56" i="1"/>
  <c r="G56" i="1"/>
  <c r="F56" i="1"/>
  <c r="E56" i="1"/>
  <c r="D56" i="1"/>
  <c r="M55" i="1"/>
  <c r="L55" i="1"/>
  <c r="K55" i="1"/>
  <c r="J55" i="1"/>
  <c r="I55" i="1"/>
  <c r="H55" i="1"/>
  <c r="G55" i="1"/>
  <c r="F55" i="1"/>
  <c r="E55" i="1"/>
  <c r="D55" i="1"/>
  <c r="H52" i="1"/>
  <c r="I52" i="1"/>
  <c r="J52" i="1"/>
  <c r="K52" i="1"/>
  <c r="L52" i="1"/>
  <c r="M52" i="1"/>
  <c r="M50" i="1"/>
  <c r="L50" i="1"/>
  <c r="K50" i="1"/>
  <c r="J50" i="1"/>
  <c r="I50" i="1"/>
  <c r="H50" i="1"/>
  <c r="G50" i="1"/>
  <c r="F50" i="1"/>
  <c r="E50" i="1"/>
  <c r="D50" i="1"/>
  <c r="M49" i="1"/>
  <c r="L49" i="1"/>
  <c r="K49" i="1"/>
  <c r="J49" i="1"/>
  <c r="I49" i="1"/>
  <c r="H49" i="1"/>
  <c r="G49" i="1"/>
  <c r="F49" i="1"/>
  <c r="E49" i="1"/>
  <c r="D49" i="1"/>
  <c r="M47" i="1"/>
  <c r="L47" i="1"/>
  <c r="K47" i="1"/>
  <c r="J47" i="1"/>
  <c r="I47" i="1"/>
  <c r="H47" i="1"/>
  <c r="G47" i="1"/>
  <c r="F47" i="1"/>
  <c r="E47" i="1"/>
  <c r="D47" i="1"/>
  <c r="M46" i="1"/>
  <c r="L46" i="1"/>
  <c r="K46" i="1"/>
  <c r="J46" i="1"/>
  <c r="I46" i="1"/>
  <c r="H46" i="1"/>
  <c r="G46" i="1"/>
  <c r="F46" i="1"/>
  <c r="E46" i="1"/>
  <c r="D46" i="1"/>
  <c r="M44" i="1"/>
  <c r="L44" i="1"/>
  <c r="K44" i="1"/>
  <c r="J44" i="1"/>
  <c r="I44" i="1"/>
  <c r="H44" i="1"/>
  <c r="G44" i="1"/>
  <c r="F44" i="1"/>
  <c r="E44" i="1"/>
  <c r="M43" i="1"/>
  <c r="L43" i="1"/>
  <c r="K43" i="1"/>
  <c r="J43" i="1"/>
  <c r="I43" i="1"/>
  <c r="H43" i="1"/>
  <c r="G43" i="1"/>
  <c r="F43" i="1"/>
  <c r="E43" i="1"/>
  <c r="D43" i="1"/>
  <c r="G25" i="1"/>
  <c r="F25" i="1"/>
  <c r="D25" i="1"/>
  <c r="E25" i="1"/>
  <c r="F39" i="1"/>
  <c r="E39" i="1"/>
  <c r="D39" i="1"/>
  <c r="G38" i="1"/>
  <c r="G39" i="1" s="1"/>
  <c r="F38" i="1"/>
  <c r="E38" i="1"/>
  <c r="D38" i="1"/>
  <c r="G33" i="1"/>
  <c r="F33" i="1"/>
  <c r="E33" i="1"/>
  <c r="D33" i="1"/>
  <c r="G29" i="1"/>
  <c r="G30" i="1" s="1"/>
  <c r="F29" i="1"/>
  <c r="F30" i="1" s="1"/>
  <c r="E29" i="1"/>
  <c r="E30" i="1" s="1"/>
  <c r="D29" i="1"/>
  <c r="D30" i="1" s="1"/>
  <c r="H30" i="1" s="1"/>
  <c r="G26" i="1"/>
  <c r="F26" i="1"/>
  <c r="E26" i="1"/>
  <c r="D26" i="1"/>
  <c r="H26" i="1" s="1"/>
  <c r="G20" i="1"/>
  <c r="F20" i="1"/>
  <c r="E20" i="1"/>
  <c r="D20" i="1"/>
  <c r="H20" i="1" s="1"/>
  <c r="E16" i="1"/>
  <c r="G16" i="1"/>
  <c r="H15" i="1" s="1"/>
  <c r="H19" i="1" s="1"/>
  <c r="H24" i="1" s="1"/>
  <c r="F16" i="1"/>
  <c r="I30" i="1" l="1"/>
  <c r="I20" i="1"/>
  <c r="J20" i="1" s="1"/>
  <c r="H39" i="1"/>
  <c r="H38" i="1" s="1"/>
  <c r="I26" i="1"/>
  <c r="J26" i="1" s="1"/>
  <c r="I39" i="1"/>
  <c r="H29" i="1"/>
  <c r="H33" i="1"/>
  <c r="J39" i="1"/>
  <c r="H32" i="1"/>
  <c r="I33" i="1"/>
  <c r="J30" i="1"/>
  <c r="K30" i="1"/>
  <c r="H16" i="1"/>
  <c r="I15" i="1" s="1"/>
  <c r="K20" i="1" l="1"/>
  <c r="L20" i="1"/>
  <c r="M20" i="1" s="1"/>
  <c r="I19" i="1"/>
  <c r="I29" i="1"/>
  <c r="J38" i="1"/>
  <c r="I32" i="1"/>
  <c r="I38" i="1"/>
  <c r="J33" i="1"/>
  <c r="K26" i="1"/>
  <c r="K39" i="1"/>
  <c r="I24" i="1"/>
  <c r="L39" i="1"/>
  <c r="M39" i="1"/>
  <c r="L30" i="1"/>
  <c r="M30" i="1"/>
  <c r="I16" i="1"/>
  <c r="J15" i="1" s="1"/>
  <c r="J29" i="1" s="1"/>
  <c r="K38" i="1" l="1"/>
  <c r="J32" i="1"/>
  <c r="K33" i="1"/>
  <c r="L26" i="1"/>
  <c r="M26" i="1" s="1"/>
  <c r="J19" i="1"/>
  <c r="J16" i="1"/>
  <c r="K15" i="1" s="1"/>
  <c r="L33" i="1" l="1"/>
  <c r="M33" i="1"/>
  <c r="K29" i="1"/>
  <c r="K32" i="1"/>
  <c r="J24" i="1"/>
  <c r="K19" i="1"/>
  <c r="K16" i="1"/>
  <c r="L15" i="1" s="1"/>
  <c r="L29" i="1" l="1"/>
  <c r="L38" i="1"/>
  <c r="L32" i="1"/>
  <c r="K24" i="1"/>
  <c r="L19" i="1"/>
  <c r="L16" i="1"/>
  <c r="M15" i="1" s="1"/>
  <c r="M16" i="1" l="1"/>
  <c r="M29" i="1"/>
  <c r="M38" i="1"/>
  <c r="M32" i="1"/>
  <c r="L24" i="1"/>
  <c r="M19" i="1"/>
  <c r="M24" i="1" l="1"/>
</calcChain>
</file>

<file path=xl/sharedStrings.xml><?xml version="1.0" encoding="utf-8"?>
<sst xmlns="http://schemas.openxmlformats.org/spreadsheetml/2006/main" count="82" uniqueCount="74">
  <si>
    <t>Microchip Technology Incorporated (MCHP)</t>
  </si>
  <si>
    <t xml:space="preserve">Ticker </t>
  </si>
  <si>
    <t>MCHP</t>
  </si>
  <si>
    <t>Date</t>
  </si>
  <si>
    <t>Implied Share price</t>
  </si>
  <si>
    <t>Todays Share Price</t>
  </si>
  <si>
    <t>Assumptions</t>
  </si>
  <si>
    <t>WACC</t>
  </si>
  <si>
    <t>TGR</t>
  </si>
  <si>
    <t>Income statement</t>
  </si>
  <si>
    <t>Revenue</t>
  </si>
  <si>
    <t>%Growth</t>
  </si>
  <si>
    <t>EBIT</t>
  </si>
  <si>
    <t>Taxes</t>
  </si>
  <si>
    <t>%of revenue</t>
  </si>
  <si>
    <t>Tax Provisions</t>
  </si>
  <si>
    <t>Effective Tax Rate</t>
  </si>
  <si>
    <t>%of tax provisions to EBIT</t>
  </si>
  <si>
    <t>Cash Flow items</t>
  </si>
  <si>
    <t>Deprec/amor</t>
  </si>
  <si>
    <t>Capital Ex</t>
  </si>
  <si>
    <t>Change in NWC(networking cap</t>
  </si>
  <si>
    <t>NOPAT</t>
  </si>
  <si>
    <t>%OF revenue</t>
  </si>
  <si>
    <t>Current Assets</t>
  </si>
  <si>
    <t>Current Liaabilities</t>
  </si>
  <si>
    <t>Net working capital</t>
  </si>
  <si>
    <t>DCF</t>
  </si>
  <si>
    <t>Free cash flow</t>
  </si>
  <si>
    <t>%growth</t>
  </si>
  <si>
    <t>%revenue</t>
  </si>
  <si>
    <t>%of ebit</t>
  </si>
  <si>
    <t>EBIAT</t>
  </si>
  <si>
    <t>Earnigns After Taxes</t>
  </si>
  <si>
    <t>Current</t>
  </si>
  <si>
    <t>Projected</t>
  </si>
  <si>
    <t>D/A</t>
  </si>
  <si>
    <t>%of sales</t>
  </si>
  <si>
    <t>Cap Ex</t>
  </si>
  <si>
    <t>Net working Capital</t>
  </si>
  <si>
    <t>Unlevered FCF</t>
  </si>
  <si>
    <t>Present Value of FCF</t>
  </si>
  <si>
    <t>WACC =  (% Equity x Cost of Equity) + (% Debt x Cost of Debt x (1 -Tax rate))</t>
  </si>
  <si>
    <t>Cost of Equity = Risk Free Rate + (Beta x (Expected Market Return - Risk Free Rate))</t>
  </si>
  <si>
    <t>Equity Value</t>
  </si>
  <si>
    <t>Risk Free Rate</t>
  </si>
  <si>
    <t>Cost of Equity= Rf *b 8 (Rm -Rf), Where: Rf is is the risk free rate, the return you would get if you just put your money in the safest financial instrument (us treasury bond), b is beta and his is the inherant volitility of a companys stock in relation to the market, rm is the expected market return (usually about 8-10 %), next is rd, this is the cost of debt and it includes the rate that a company pays back its debt at , the formula is rd= (Total Interest Expense)/ Total Debt, rdafter tax is = Rd * (1-TC ) where TC is rthe corporate tax rate, Next need to calcualte the E/V ( equity  to total value of financing) and D/V ( Debt to total value of financing) which are : E/V = E/(E+D) AND D/V = ( D/(E+D) . Finally the Wacc is = (E/V) * Re + (D/V) * rdafter tax</t>
  </si>
  <si>
    <t>rf (risk free rate)</t>
  </si>
  <si>
    <t>b (stock volutility</t>
  </si>
  <si>
    <t xml:space="preserve">rm ( market return </t>
  </si>
  <si>
    <t>RE (Cost of equity</t>
  </si>
  <si>
    <t>rf+b*(rm-rf)</t>
  </si>
  <si>
    <t xml:space="preserve">Cost of Debt </t>
  </si>
  <si>
    <t>Total Interest Expense</t>
  </si>
  <si>
    <t>Total Debt</t>
  </si>
  <si>
    <t>Corporate Tax rate (TC)</t>
  </si>
  <si>
    <t>Cost of debt rd = (Total interest Expense/ Total Debt</t>
  </si>
  <si>
    <t>Cost of Debt after taxes (rdat) = Rd * (1-TC)</t>
  </si>
  <si>
    <t>Equity and Debt porportions</t>
  </si>
  <si>
    <t>Equity ( Market Valueof companys equity)</t>
  </si>
  <si>
    <t>Debt ( mARKET VALUE of the companys debt</t>
  </si>
  <si>
    <t>E/V= E/(E+D)</t>
  </si>
  <si>
    <t>D/V= (D/(E+D))</t>
  </si>
  <si>
    <t>WACC= (E/V) *Re + (D/V) * rdat</t>
  </si>
  <si>
    <t>Total Enterprise Value</t>
  </si>
  <si>
    <t>Terminal Value= FCF* last forecast(1+g)/(WACC-g) where g is the gdp grrowth rate</t>
  </si>
  <si>
    <t xml:space="preserve">GDP Growth </t>
  </si>
  <si>
    <t>Current value for Terminal Value</t>
  </si>
  <si>
    <t>Total enterprise value + current terminal</t>
  </si>
  <si>
    <t>cash</t>
  </si>
  <si>
    <t>debt</t>
  </si>
  <si>
    <t>Shares</t>
  </si>
  <si>
    <t>Share price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</si>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</sst>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71" formatCode="0.000%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2" borderId="1" xfId="0" applyFill="1" applyBorder="1"/>
    <xf numFmtId="0" fontId="0" fillId="3" borderId="0" xfId="0" applyFill="1"/>
    <xf numFmtId="14" fontId="0" fillId="3" borderId="0" xfId="0" applyNumberFormat="1" applyFill="1"/>
    <xf numFmtId="0" fontId="0" fillId="5" borderId="0" xfId="0" applyFill="1"/>
    <xf numFmtId="0" fontId="0" fillId="5" borderId="0" xfId="0" applyFont="1" applyFill="1"/>
    <xf numFmtId="44" fontId="0" fillId="0" borderId="0" xfId="0" applyNumberFormat="1"/>
    <xf numFmtId="0" fontId="0" fillId="0" borderId="3" xfId="0" applyBorder="1"/>
    <xf numFmtId="0" fontId="0" fillId="5" borderId="3" xfId="0" applyFill="1" applyBorder="1"/>
    <xf numFmtId="44" fontId="0" fillId="0" borderId="3" xfId="0" applyNumberFormat="1" applyBorder="1"/>
    <xf numFmtId="9" fontId="0" fillId="0" borderId="0" xfId="2" applyFont="1"/>
    <xf numFmtId="9" fontId="0" fillId="0" borderId="0" xfId="0" applyNumberFormat="1"/>
    <xf numFmtId="0" fontId="0" fillId="5" borderId="0" xfId="0" applyFill="1" applyBorder="1"/>
    <xf numFmtId="44" fontId="0" fillId="0" borderId="0" xfId="0" applyNumberFormat="1" applyBorder="1"/>
    <xf numFmtId="9" fontId="0" fillId="0" borderId="0" xfId="2" applyFont="1" applyBorder="1"/>
    <xf numFmtId="9" fontId="0" fillId="0" borderId="3" xfId="2" applyFont="1" applyBorder="1"/>
    <xf numFmtId="44" fontId="0" fillId="0" borderId="3" xfId="0" applyNumberFormat="1" applyFill="1" applyBorder="1"/>
    <xf numFmtId="44" fontId="0" fillId="0" borderId="0" xfId="1" applyFont="1" applyBorder="1"/>
    <xf numFmtId="44" fontId="0" fillId="0" borderId="3" xfId="1" applyFont="1" applyBorder="1"/>
    <xf numFmtId="9" fontId="0" fillId="0" borderId="3" xfId="0" applyNumberFormat="1" applyBorder="1"/>
    <xf numFmtId="0" fontId="0" fillId="0" borderId="0" xfId="0" applyAlignment="1">
      <alignment horizontal="center"/>
    </xf>
    <xf numFmtId="0" fontId="0" fillId="0" borderId="2" xfId="0" applyBorder="1"/>
    <xf numFmtId="44" fontId="0" fillId="0" borderId="2" xfId="0" applyNumberForma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6" borderId="0" xfId="0" applyFont="1" applyFill="1"/>
    <xf numFmtId="0" fontId="0" fillId="6" borderId="0" xfId="0" applyFill="1"/>
    <xf numFmtId="0" fontId="3" fillId="0" borderId="0" xfId="0" applyFont="1"/>
    <xf numFmtId="0" fontId="3" fillId="7" borderId="11" xfId="0" applyFont="1" applyFill="1" applyBorder="1"/>
    <xf numFmtId="0" fontId="0" fillId="7" borderId="12" xfId="0" applyFill="1" applyBorder="1"/>
    <xf numFmtId="10" fontId="3" fillId="7" borderId="13" xfId="0" applyNumberFormat="1" applyFont="1" applyFill="1" applyBorder="1"/>
    <xf numFmtId="0" fontId="0" fillId="0" borderId="0" xfId="0" applyAlignment="1">
      <alignment vertical="top"/>
    </xf>
    <xf numFmtId="9" fontId="0" fillId="0" borderId="0" xfId="2" applyFont="1" applyAlignment="1">
      <alignment vertical="top"/>
    </xf>
    <xf numFmtId="0" fontId="0" fillId="0" borderId="6" xfId="0" applyBorder="1" applyAlignment="1">
      <alignment vertical="top"/>
    </xf>
    <xf numFmtId="171" fontId="0" fillId="0" borderId="8" xfId="0" applyNumberFormat="1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44" fontId="0" fillId="0" borderId="0" xfId="0" applyNumberFormat="1" applyAlignment="1">
      <alignment vertical="top"/>
    </xf>
    <xf numFmtId="0" fontId="0" fillId="0" borderId="0" xfId="0" applyFill="1" applyBorder="1" applyAlignment="1">
      <alignment vertical="top"/>
    </xf>
    <xf numFmtId="9" fontId="0" fillId="0" borderId="0" xfId="2" applyFont="1" applyAlignment="1">
      <alignment horizontal="center"/>
    </xf>
    <xf numFmtId="44" fontId="0" fillId="0" borderId="1" xfId="0" applyNumberFormat="1" applyBorder="1"/>
    <xf numFmtId="0" fontId="0" fillId="0" borderId="7" xfId="0" applyBorder="1" applyAlignment="1"/>
    <xf numFmtId="44" fontId="0" fillId="4" borderId="2" xfId="0" applyNumberFormat="1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0" borderId="4" xfId="0" applyBorder="1"/>
    <xf numFmtId="0" fontId="0" fillId="5" borderId="4" xfId="0" applyFill="1" applyBorder="1"/>
    <xf numFmtId="44" fontId="0" fillId="0" borderId="4" xfId="0" applyNumberFormat="1" applyBorder="1"/>
    <xf numFmtId="9" fontId="0" fillId="0" borderId="0" xfId="0" applyNumberFormat="1" applyBorder="1"/>
    <xf numFmtId="44" fontId="0" fillId="0" borderId="10" xfId="0" applyNumberFormat="1" applyBorder="1"/>
    <xf numFmtId="0" fontId="0" fillId="0" borderId="6" xfId="0" applyBorder="1"/>
    <xf numFmtId="0" fontId="0" fillId="0" borderId="8" xfId="0" applyBorder="1"/>
    <xf numFmtId="44" fontId="0" fillId="0" borderId="14" xfId="0" applyNumberFormat="1" applyBorder="1" applyAlignment="1"/>
    <xf numFmtId="0" fontId="0" fillId="0" borderId="4" xfId="0" applyFill="1" applyBorder="1"/>
    <xf numFmtId="0" fontId="0" fillId="0" borderId="9" xfId="0" applyFill="1" applyBorder="1"/>
    <xf numFmtId="44" fontId="0" fillId="8" borderId="10" xfId="0" applyNumberFormat="1" applyFill="1" applyBorder="1"/>
    <xf numFmtId="0" fontId="0" fillId="0" borderId="2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10D0-E8B7-D143-ABC2-139EB404597B}">
  <dimension ref="A1:M74"/>
  <sheetViews>
    <sheetView tabSelected="1" zoomScale="92" zoomScaleNormal="100" workbookViewId="0">
      <selection activeCell="B23" sqref="B23"/>
    </sheetView>
  </sheetViews>
  <sheetFormatPr baseColWidth="10" defaultColWidth="22" defaultRowHeight="16" x14ac:dyDescent="0.2"/>
  <cols>
    <col min="2" max="2" width="24.6640625" customWidth="1"/>
    <col min="6" max="6" width="34.83203125" style="1" customWidth="1"/>
    <col min="7" max="7" width="22" style="9"/>
    <col min="13" max="13" width="16.33203125" bestFit="1" customWidth="1"/>
  </cols>
  <sheetData>
    <row r="1" spans="1:13" s="2" customFormat="1" x14ac:dyDescent="0.2"/>
    <row r="2" spans="1:13" s="3" customFormat="1" x14ac:dyDescent="0.2">
      <c r="A2" s="3" t="s">
        <v>0</v>
      </c>
    </row>
    <row r="3" spans="1:13" x14ac:dyDescent="0.2">
      <c r="F3"/>
      <c r="G3"/>
    </row>
    <row r="4" spans="1:13" x14ac:dyDescent="0.2">
      <c r="B4" t="s">
        <v>1</v>
      </c>
      <c r="C4" s="4" t="s">
        <v>2</v>
      </c>
      <c r="D4" t="s">
        <v>4</v>
      </c>
      <c r="F4" s="52">
        <f>H74</f>
        <v>92.67407806841814</v>
      </c>
      <c r="G4"/>
    </row>
    <row r="5" spans="1:13" x14ac:dyDescent="0.2">
      <c r="B5" t="s">
        <v>3</v>
      </c>
      <c r="C5" s="5">
        <v>45497</v>
      </c>
      <c r="D5" t="s">
        <v>5</v>
      </c>
      <c r="F5" s="52">
        <v>91.35</v>
      </c>
      <c r="G5"/>
      <c r="H5" t="s">
        <v>73</v>
      </c>
      <c r="I5" s="12">
        <f>(F4/F5)-1</f>
        <v>1.4494560135940304E-2</v>
      </c>
    </row>
    <row r="6" spans="1:13" x14ac:dyDescent="0.2">
      <c r="F6"/>
      <c r="G6"/>
    </row>
    <row r="7" spans="1:13" x14ac:dyDescent="0.2">
      <c r="B7" t="s">
        <v>66</v>
      </c>
      <c r="C7" s="13">
        <v>0.03</v>
      </c>
      <c r="F7"/>
      <c r="G7"/>
    </row>
    <row r="8" spans="1:13" s="6" customFormat="1" x14ac:dyDescent="0.2">
      <c r="A8"/>
      <c r="G8" s="10"/>
    </row>
    <row r="9" spans="1:13" s="6" customFormat="1" x14ac:dyDescent="0.2">
      <c r="A9"/>
      <c r="B9" s="7" t="s">
        <v>6</v>
      </c>
      <c r="G9" s="10"/>
    </row>
    <row r="10" spans="1:13" x14ac:dyDescent="0.2">
      <c r="B10" t="s">
        <v>7</v>
      </c>
    </row>
    <row r="11" spans="1:13" x14ac:dyDescent="0.2">
      <c r="B11" t="s">
        <v>8</v>
      </c>
    </row>
    <row r="12" spans="1:13" x14ac:dyDescent="0.2">
      <c r="C12" s="67" t="s">
        <v>34</v>
      </c>
      <c r="D12" s="67"/>
      <c r="E12" s="67"/>
      <c r="F12" s="67"/>
      <c r="G12" s="67"/>
      <c r="H12" s="67" t="s">
        <v>35</v>
      </c>
      <c r="I12" s="67"/>
      <c r="J12" s="67"/>
      <c r="K12" s="67"/>
      <c r="L12" s="67"/>
      <c r="M12" s="67"/>
    </row>
    <row r="13" spans="1:13" x14ac:dyDescent="0.2"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x14ac:dyDescent="0.2">
      <c r="B14" s="53" t="s">
        <v>9</v>
      </c>
      <c r="C14" s="54"/>
      <c r="D14" s="54">
        <v>2021</v>
      </c>
      <c r="E14" s="54">
        <v>2022</v>
      </c>
      <c r="F14" s="54">
        <v>2023</v>
      </c>
      <c r="G14" s="55">
        <v>2024</v>
      </c>
      <c r="H14" s="54">
        <v>2025</v>
      </c>
      <c r="I14" s="54">
        <v>2026</v>
      </c>
      <c r="J14" s="54">
        <v>2027</v>
      </c>
      <c r="K14" s="54">
        <v>2028</v>
      </c>
      <c r="L14" s="54">
        <v>2029</v>
      </c>
      <c r="M14" s="55">
        <v>2030</v>
      </c>
    </row>
    <row r="15" spans="1:13" x14ac:dyDescent="0.2">
      <c r="B15" s="56" t="s">
        <v>10</v>
      </c>
      <c r="C15" s="1"/>
      <c r="D15" s="15">
        <v>5438400</v>
      </c>
      <c r="E15" s="15">
        <v>6820900</v>
      </c>
      <c r="F15" s="15">
        <v>8438700</v>
      </c>
      <c r="G15" s="11">
        <v>7634400</v>
      </c>
      <c r="H15" s="15">
        <f t="shared" ref="H15:M15" si="0">G15*(1+G16)</f>
        <v>6906758.5481176013</v>
      </c>
      <c r="I15" s="15">
        <f t="shared" si="0"/>
        <v>7818641.0374212582</v>
      </c>
      <c r="J15" s="15">
        <f t="shared" si="0"/>
        <v>8850917.1482053213</v>
      </c>
      <c r="K15" s="15">
        <f t="shared" si="0"/>
        <v>10019482.156739693</v>
      </c>
      <c r="L15" s="15">
        <f t="shared" si="0"/>
        <v>11342329.953860311</v>
      </c>
      <c r="M15" s="11">
        <f t="shared" si="0"/>
        <v>12839830.119932927</v>
      </c>
    </row>
    <row r="16" spans="1:13" x14ac:dyDescent="0.2">
      <c r="B16" s="56" t="s">
        <v>11</v>
      </c>
      <c r="C16" s="1"/>
      <c r="D16" s="1"/>
      <c r="E16" s="16">
        <f>E15/D15-1</f>
        <v>0.25421079729332163</v>
      </c>
      <c r="F16" s="16">
        <f t="shared" ref="F16:M16" si="1">F15/E15-1</f>
        <v>0.2371827764664487</v>
      </c>
      <c r="G16" s="17">
        <f>G15/F15-1</f>
        <v>-9.5310889117992126E-2</v>
      </c>
      <c r="H16" s="16">
        <f>AVERAGE(E16:G16)</f>
        <v>0.13202756154725939</v>
      </c>
      <c r="I16" s="16">
        <f t="shared" si="1"/>
        <v>0.13202756154725948</v>
      </c>
      <c r="J16" s="16">
        <f t="shared" si="1"/>
        <v>0.13202756154725948</v>
      </c>
      <c r="K16" s="16">
        <f t="shared" si="1"/>
        <v>0.13202756154725948</v>
      </c>
      <c r="L16" s="16">
        <f t="shared" si="1"/>
        <v>0.13202756154725948</v>
      </c>
      <c r="M16" s="17">
        <f t="shared" si="1"/>
        <v>0.13202756154725948</v>
      </c>
    </row>
    <row r="17" spans="2:13" x14ac:dyDescent="0.2">
      <c r="B17" s="56"/>
      <c r="C17" s="1"/>
      <c r="D17" s="1"/>
      <c r="E17" s="1"/>
      <c r="H17" s="1"/>
      <c r="I17" s="1"/>
      <c r="J17" s="1"/>
      <c r="K17" s="1"/>
      <c r="L17" s="1"/>
      <c r="M17" s="9"/>
    </row>
    <row r="18" spans="2:13" x14ac:dyDescent="0.2">
      <c r="B18" s="56"/>
      <c r="C18" s="1"/>
      <c r="D18" s="1"/>
      <c r="E18" s="1"/>
      <c r="H18" s="1"/>
      <c r="I18" s="1"/>
      <c r="J18" s="1"/>
      <c r="K18" s="1"/>
      <c r="L18" s="1"/>
      <c r="M18" s="9"/>
    </row>
    <row r="19" spans="2:13" x14ac:dyDescent="0.2">
      <c r="B19" s="56" t="s">
        <v>12</v>
      </c>
      <c r="C19" s="1"/>
      <c r="D19" s="15">
        <v>679300</v>
      </c>
      <c r="E19" s="15">
        <v>1728000</v>
      </c>
      <c r="F19" s="15">
        <v>3104100</v>
      </c>
      <c r="G19" s="18">
        <v>2556900</v>
      </c>
      <c r="H19" s="15">
        <f>H15*G20</f>
        <v>2313199.5876142061</v>
      </c>
      <c r="I19" s="15">
        <f t="shared" ref="I19:M19" si="2">I15*H20</f>
        <v>2113000.1451098802</v>
      </c>
      <c r="J19" s="15">
        <f t="shared" si="2"/>
        <v>2713580.2770783775</v>
      </c>
      <c r="K19" s="15">
        <f t="shared" si="2"/>
        <v>3205228.1771563501</v>
      </c>
      <c r="L19" s="15">
        <f t="shared" si="2"/>
        <v>3492464.7473345483</v>
      </c>
      <c r="M19" s="11">
        <f t="shared" si="2"/>
        <v>3866884.5339517328</v>
      </c>
    </row>
    <row r="20" spans="2:13" x14ac:dyDescent="0.2">
      <c r="B20" s="56" t="s">
        <v>14</v>
      </c>
      <c r="C20" s="1"/>
      <c r="D20" s="16">
        <f>D19/D15</f>
        <v>0.12490806119446896</v>
      </c>
      <c r="E20" s="16">
        <f t="shared" ref="E20:G20" si="3">E19/E15</f>
        <v>0.25333900218446248</v>
      </c>
      <c r="F20" s="16">
        <f t="shared" si="3"/>
        <v>0.36784101816630521</v>
      </c>
      <c r="G20" s="17">
        <f t="shared" si="3"/>
        <v>0.33491826469663627</v>
      </c>
      <c r="H20" s="16">
        <f>AVERAGE(D20:G20)</f>
        <v>0.27025158656046822</v>
      </c>
      <c r="I20" s="16">
        <f t="shared" ref="I20:M20" si="4">AVERAGE(E20:H20)</f>
        <v>0.30658746790196806</v>
      </c>
      <c r="J20" s="16">
        <f t="shared" si="4"/>
        <v>0.31989958433134441</v>
      </c>
      <c r="K20" s="16">
        <f t="shared" si="4"/>
        <v>0.3079142258726042</v>
      </c>
      <c r="L20" s="16">
        <f t="shared" si="4"/>
        <v>0.30116321616659619</v>
      </c>
      <c r="M20" s="17">
        <f t="shared" si="4"/>
        <v>0.3088911235681282</v>
      </c>
    </row>
    <row r="21" spans="2:13" x14ac:dyDescent="0.2">
      <c r="B21" s="56"/>
      <c r="C21" s="1"/>
      <c r="D21" s="1"/>
      <c r="E21" s="1"/>
      <c r="H21" s="1"/>
      <c r="I21" s="1"/>
      <c r="J21" s="1"/>
      <c r="K21" s="1"/>
      <c r="L21" s="1"/>
      <c r="M21" s="9"/>
    </row>
    <row r="22" spans="2:13" x14ac:dyDescent="0.2">
      <c r="B22" s="56"/>
      <c r="C22" s="1"/>
      <c r="D22" s="1"/>
      <c r="E22" s="1"/>
      <c r="H22" s="1"/>
      <c r="I22" s="1"/>
      <c r="J22" s="1"/>
      <c r="K22" s="1"/>
      <c r="L22" s="1"/>
      <c r="M22" s="9"/>
    </row>
    <row r="23" spans="2:13" x14ac:dyDescent="0.2">
      <c r="B23" s="56" t="s">
        <v>13</v>
      </c>
      <c r="C23" s="1"/>
      <c r="D23" s="1"/>
      <c r="E23" s="1"/>
      <c r="H23" s="1"/>
      <c r="I23" s="1"/>
      <c r="J23" s="1"/>
      <c r="K23" s="1"/>
      <c r="L23" s="1"/>
      <c r="M23" s="9"/>
    </row>
    <row r="24" spans="2:13" x14ac:dyDescent="0.2">
      <c r="B24" s="56" t="s">
        <v>15</v>
      </c>
      <c r="C24" s="1"/>
      <c r="D24" s="15">
        <v>-9900</v>
      </c>
      <c r="E24" s="15">
        <v>197000</v>
      </c>
      <c r="F24" s="15">
        <v>672000</v>
      </c>
      <c r="G24" s="11">
        <v>459000</v>
      </c>
      <c r="H24" s="15">
        <f>H19*H25</f>
        <v>439507.92164669919</v>
      </c>
      <c r="I24" s="15">
        <f t="shared" ref="I24:M24" si="5">I19*I25</f>
        <v>485990.03337527247</v>
      </c>
      <c r="J24" s="15">
        <f t="shared" si="5"/>
        <v>624123.46372802684</v>
      </c>
      <c r="K24" s="15">
        <f t="shared" si="5"/>
        <v>737202.48074596061</v>
      </c>
      <c r="L24" s="15">
        <f t="shared" si="5"/>
        <v>803266.89188694616</v>
      </c>
      <c r="M24" s="11">
        <f t="shared" si="5"/>
        <v>889383.44280889863</v>
      </c>
    </row>
    <row r="25" spans="2:13" x14ac:dyDescent="0.2">
      <c r="B25" s="56" t="s">
        <v>16</v>
      </c>
      <c r="C25" s="1"/>
      <c r="D25" s="16">
        <f>D24/D19</f>
        <v>-1.4573825997350213E-2</v>
      </c>
      <c r="E25" s="16">
        <f>E24/E19</f>
        <v>0.11400462962962964</v>
      </c>
      <c r="F25" s="16">
        <f t="shared" ref="F25:G25" si="6">F24/F19</f>
        <v>0.21648787088044844</v>
      </c>
      <c r="G25" s="17">
        <f t="shared" si="6"/>
        <v>0.17951425554382261</v>
      </c>
      <c r="H25" s="16">
        <v>0.19</v>
      </c>
      <c r="I25" s="16">
        <v>0.23</v>
      </c>
      <c r="J25" s="16">
        <v>0.23</v>
      </c>
      <c r="K25" s="16">
        <v>0.23</v>
      </c>
      <c r="L25" s="16">
        <v>0.23</v>
      </c>
      <c r="M25" s="17">
        <v>0.23</v>
      </c>
    </row>
    <row r="26" spans="2:13" x14ac:dyDescent="0.2">
      <c r="B26" s="56" t="s">
        <v>17</v>
      </c>
      <c r="C26" s="1"/>
      <c r="D26" s="16">
        <f>D24/D19</f>
        <v>-1.4573825997350213E-2</v>
      </c>
      <c r="E26" s="16">
        <f>E24/E19</f>
        <v>0.11400462962962964</v>
      </c>
      <c r="F26" s="16">
        <f>F24/F19</f>
        <v>0.21648787088044844</v>
      </c>
      <c r="G26" s="17">
        <f>G24/G19</f>
        <v>0.17951425554382261</v>
      </c>
      <c r="H26" s="16">
        <f>AVERAGE(D26:G26)</f>
        <v>0.12385823251413762</v>
      </c>
      <c r="I26" s="16">
        <f t="shared" ref="I26:M26" si="7">AVERAGE(E26:H26)</f>
        <v>0.15846624714200958</v>
      </c>
      <c r="J26" s="16">
        <f t="shared" si="7"/>
        <v>0.16958165152010457</v>
      </c>
      <c r="K26" s="16">
        <f t="shared" si="7"/>
        <v>0.1578550966800186</v>
      </c>
      <c r="L26" s="16">
        <f t="shared" si="7"/>
        <v>0.1524403069640676</v>
      </c>
      <c r="M26" s="17">
        <f t="shared" si="7"/>
        <v>0.1595858255765501</v>
      </c>
    </row>
    <row r="27" spans="2:13" x14ac:dyDescent="0.2">
      <c r="B27" s="56" t="s">
        <v>22</v>
      </c>
      <c r="C27" s="1"/>
      <c r="D27" s="1"/>
      <c r="E27" s="1"/>
      <c r="H27" s="1"/>
      <c r="I27" s="1"/>
      <c r="J27" s="1"/>
      <c r="K27" s="1"/>
      <c r="L27" s="1"/>
      <c r="M27" s="9"/>
    </row>
    <row r="28" spans="2:13" x14ac:dyDescent="0.2">
      <c r="B28" s="57" t="s">
        <v>18</v>
      </c>
      <c r="C28" s="14"/>
      <c r="D28" s="14">
        <v>2021</v>
      </c>
      <c r="E28" s="14">
        <v>2022</v>
      </c>
      <c r="F28" s="14">
        <v>2023</v>
      </c>
      <c r="G28" s="10">
        <v>2024</v>
      </c>
      <c r="H28" s="14">
        <v>2025</v>
      </c>
      <c r="I28" s="14">
        <v>2026</v>
      </c>
      <c r="J28" s="14">
        <v>2027</v>
      </c>
      <c r="K28" s="14">
        <v>2028</v>
      </c>
      <c r="L28" s="14">
        <v>2029</v>
      </c>
      <c r="M28" s="10">
        <v>2030</v>
      </c>
    </row>
    <row r="29" spans="2:13" x14ac:dyDescent="0.2">
      <c r="B29" s="56" t="s">
        <v>19</v>
      </c>
      <c r="C29" s="1"/>
      <c r="D29" s="15">
        <f>1832600-D19</f>
        <v>1153300</v>
      </c>
      <c r="E29" s="15">
        <f>2871500-E19</f>
        <v>1143500</v>
      </c>
      <c r="F29" s="15">
        <f>4102500-F19</f>
        <v>998400</v>
      </c>
      <c r="G29" s="11">
        <f>3436400-G19</f>
        <v>879500</v>
      </c>
      <c r="H29" s="15">
        <f>H15*H30</f>
        <v>1058852.4502659817</v>
      </c>
      <c r="I29" s="15">
        <f t="shared" ref="I29:M29" si="8">I15*I30</f>
        <v>1083795.6186192413</v>
      </c>
      <c r="J29" s="15">
        <f t="shared" si="8"/>
        <v>1162651.8226239693</v>
      </c>
      <c r="K29" s="15">
        <f t="shared" si="8"/>
        <v>1348835.9853702676</v>
      </c>
      <c r="L29" s="15">
        <f t="shared" si="8"/>
        <v>1581983.9278952084</v>
      </c>
      <c r="M29" s="11">
        <f t="shared" si="8"/>
        <v>1746453.7226935453</v>
      </c>
    </row>
    <row r="30" spans="2:13" x14ac:dyDescent="0.2">
      <c r="B30" s="56" t="s">
        <v>23</v>
      </c>
      <c r="C30" s="1"/>
      <c r="D30" s="16">
        <f>D29/D15</f>
        <v>0.21206604883789351</v>
      </c>
      <c r="E30" s="16">
        <f t="shared" ref="E30:G30" si="9">E29/E15</f>
        <v>0.16764649826269259</v>
      </c>
      <c r="F30" s="16">
        <f t="shared" si="9"/>
        <v>0.11831206228447509</v>
      </c>
      <c r="G30" s="17">
        <f t="shared" si="9"/>
        <v>0.11520224248139999</v>
      </c>
      <c r="H30" s="16">
        <f>AVERAGE(D30:G30)</f>
        <v>0.1533067129666153</v>
      </c>
      <c r="I30" s="16">
        <f t="shared" ref="I30:M30" si="10">AVERAGE(E30:H30)</f>
        <v>0.13861687899879574</v>
      </c>
      <c r="J30" s="16">
        <f t="shared" si="10"/>
        <v>0.13135947418282154</v>
      </c>
      <c r="K30" s="16">
        <f t="shared" si="10"/>
        <v>0.13462132715740815</v>
      </c>
      <c r="L30" s="16">
        <f t="shared" si="10"/>
        <v>0.1394760983264102</v>
      </c>
      <c r="M30" s="17">
        <f t="shared" si="10"/>
        <v>0.1360184446663589</v>
      </c>
    </row>
    <row r="31" spans="2:13" x14ac:dyDescent="0.2">
      <c r="B31" s="56"/>
      <c r="C31" s="1"/>
      <c r="D31" s="1"/>
      <c r="E31" s="1"/>
      <c r="H31" s="1"/>
      <c r="I31" s="1"/>
      <c r="J31" s="1"/>
      <c r="K31" s="1"/>
      <c r="L31" s="1"/>
      <c r="M31" s="9"/>
    </row>
    <row r="32" spans="2:13" x14ac:dyDescent="0.2">
      <c r="B32" s="58" t="s">
        <v>20</v>
      </c>
      <c r="C32" s="15"/>
      <c r="D32" s="15">
        <v>-92600</v>
      </c>
      <c r="E32" s="15">
        <v>-370100</v>
      </c>
      <c r="F32" s="15">
        <v>-486200</v>
      </c>
      <c r="G32" s="11">
        <v>-285100</v>
      </c>
      <c r="H32" s="15">
        <f>H15*H33</f>
        <v>287055.94413030095</v>
      </c>
      <c r="I32" s="15">
        <f t="shared" ref="I32:M32" si="11">I15*I33</f>
        <v>372911.91980008403</v>
      </c>
      <c r="J32" s="15">
        <f t="shared" si="11"/>
        <v>407621.18277693557</v>
      </c>
      <c r="K32" s="15">
        <f t="shared" si="11"/>
        <v>432478.62462604011</v>
      </c>
      <c r="L32" s="15">
        <f t="shared" si="11"/>
        <v>506079.8021796564</v>
      </c>
      <c r="M32" s="11">
        <f t="shared" si="11"/>
        <v>582709.38088957127</v>
      </c>
    </row>
    <row r="33" spans="2:13" x14ac:dyDescent="0.2">
      <c r="B33" s="56" t="s">
        <v>14</v>
      </c>
      <c r="C33" s="1"/>
      <c r="D33" s="16">
        <f>ABS(D32/D15)</f>
        <v>1.7027066784348337E-2</v>
      </c>
      <c r="E33" s="16">
        <f t="shared" ref="E33:G33" si="12">ABS(E32/E15)</f>
        <v>5.4259701798882842E-2</v>
      </c>
      <c r="F33" s="16">
        <f t="shared" si="12"/>
        <v>5.7615509497908446E-2</v>
      </c>
      <c r="G33" s="17">
        <f t="shared" si="12"/>
        <v>3.7344126584931366E-2</v>
      </c>
      <c r="H33" s="16">
        <f>AVERAGE(D33:G33)</f>
        <v>4.1561601166517748E-2</v>
      </c>
      <c r="I33" s="16">
        <f t="shared" ref="I33:M33" si="13">AVERAGE(E33:H33)</f>
        <v>4.7695234762060099E-2</v>
      </c>
      <c r="J33" s="16">
        <f t="shared" si="13"/>
        <v>4.6054118002854416E-2</v>
      </c>
      <c r="K33" s="16">
        <f t="shared" si="13"/>
        <v>4.3163770129090909E-2</v>
      </c>
      <c r="L33" s="16">
        <f t="shared" si="13"/>
        <v>4.4618681015130793E-2</v>
      </c>
      <c r="M33" s="17">
        <f t="shared" si="13"/>
        <v>4.5382950977284051E-2</v>
      </c>
    </row>
    <row r="34" spans="2:13" x14ac:dyDescent="0.2">
      <c r="B34" s="56"/>
      <c r="C34" s="1"/>
      <c r="D34" s="1"/>
      <c r="E34" s="1"/>
      <c r="H34" s="1"/>
      <c r="I34" s="1"/>
      <c r="J34" s="1"/>
      <c r="K34" s="1"/>
      <c r="L34" s="1"/>
      <c r="M34" s="9"/>
    </row>
    <row r="35" spans="2:13" x14ac:dyDescent="0.2">
      <c r="B35" s="56" t="s">
        <v>21</v>
      </c>
      <c r="C35" s="1"/>
      <c r="D35" s="1"/>
      <c r="E35" s="1"/>
      <c r="H35" s="1"/>
      <c r="I35" s="1"/>
      <c r="J35" s="1"/>
      <c r="K35" s="1"/>
      <c r="L35" s="1"/>
      <c r="M35" s="9"/>
    </row>
    <row r="36" spans="2:13" x14ac:dyDescent="0.2">
      <c r="B36" s="56" t="s">
        <v>24</v>
      </c>
      <c r="C36" s="1"/>
      <c r="D36" s="19">
        <v>2145200</v>
      </c>
      <c r="E36" s="19">
        <v>2452600</v>
      </c>
      <c r="F36" s="19">
        <v>3069300</v>
      </c>
      <c r="G36" s="20">
        <v>3013000</v>
      </c>
      <c r="H36" s="1"/>
      <c r="I36" s="1"/>
      <c r="J36" s="1"/>
      <c r="K36" s="1"/>
      <c r="L36" s="1"/>
      <c r="M36" s="9"/>
    </row>
    <row r="37" spans="2:13" x14ac:dyDescent="0.2">
      <c r="B37" s="56" t="s">
        <v>25</v>
      </c>
      <c r="C37" s="1"/>
      <c r="D37" s="19">
        <v>2409600</v>
      </c>
      <c r="E37" s="19">
        <v>1399000</v>
      </c>
      <c r="F37" s="19">
        <v>3118600</v>
      </c>
      <c r="G37" s="20">
        <v>2519400</v>
      </c>
      <c r="H37" s="1"/>
      <c r="I37" s="1"/>
      <c r="J37" s="1"/>
      <c r="K37" s="1"/>
      <c r="L37" s="1"/>
      <c r="M37" s="9"/>
    </row>
    <row r="38" spans="2:13" x14ac:dyDescent="0.2">
      <c r="B38" s="56" t="s">
        <v>26</v>
      </c>
      <c r="C38" s="1"/>
      <c r="D38" s="15">
        <f>D36-D37</f>
        <v>-264400</v>
      </c>
      <c r="E38" s="15">
        <f t="shared" ref="E38:G38" si="14">E36-E37</f>
        <v>1053600</v>
      </c>
      <c r="F38" s="15">
        <f t="shared" si="14"/>
        <v>-49300</v>
      </c>
      <c r="G38" s="11">
        <f t="shared" si="14"/>
        <v>493600</v>
      </c>
      <c r="H38" s="15">
        <f>H15*H39</f>
        <v>284319.76786526263</v>
      </c>
      <c r="I38" s="15">
        <f t="shared" ref="I38:M38" si="15">I15*I39</f>
        <v>497352.4545558705</v>
      </c>
      <c r="J38" s="15">
        <f t="shared" si="15"/>
        <v>361978.48790592258</v>
      </c>
      <c r="K38" s="15">
        <f t="shared" si="15"/>
        <v>526845.81578400021</v>
      </c>
      <c r="L38" s="15">
        <f t="shared" si="15"/>
        <v>562171.18627121253</v>
      </c>
      <c r="M38" s="11">
        <f t="shared" si="15"/>
        <v>663352.27619349386</v>
      </c>
    </row>
    <row r="39" spans="2:13" x14ac:dyDescent="0.2">
      <c r="B39" s="56" t="s">
        <v>14</v>
      </c>
      <c r="C39" s="1"/>
      <c r="D39" s="16">
        <f>D38/D15</f>
        <v>-4.8617240364813179E-2</v>
      </c>
      <c r="E39" s="16">
        <f t="shared" ref="E39:G39" si="16">E38/E15</f>
        <v>0.15446641938747085</v>
      </c>
      <c r="F39" s="16">
        <f t="shared" si="16"/>
        <v>-5.8421320819557511E-3</v>
      </c>
      <c r="G39" s="17">
        <f t="shared" si="16"/>
        <v>6.4654720737713514E-2</v>
      </c>
      <c r="H39" s="59">
        <f>AVERAGE(D39:G39)</f>
        <v>4.1165441919603862E-2</v>
      </c>
      <c r="I39" s="59">
        <f t="shared" ref="I39:M39" si="17">AVERAGE(E39:H39)</f>
        <v>6.3611112490708124E-2</v>
      </c>
      <c r="J39" s="59">
        <f t="shared" si="17"/>
        <v>4.0897285766517438E-2</v>
      </c>
      <c r="K39" s="59">
        <f t="shared" si="17"/>
        <v>5.2582140228635735E-2</v>
      </c>
      <c r="L39" s="59">
        <f t="shared" si="17"/>
        <v>4.956399510136629E-2</v>
      </c>
      <c r="M39" s="21">
        <f t="shared" si="17"/>
        <v>5.1663633396806893E-2</v>
      </c>
    </row>
    <row r="40" spans="2:13" x14ac:dyDescent="0.2">
      <c r="B40" s="56"/>
      <c r="C40" s="1"/>
      <c r="D40" s="16"/>
      <c r="E40" s="16"/>
      <c r="F40" s="16"/>
      <c r="G40" s="17"/>
      <c r="H40" s="59"/>
      <c r="I40" s="59"/>
      <c r="J40" s="59"/>
      <c r="K40" s="59"/>
      <c r="L40" s="59"/>
      <c r="M40" s="21"/>
    </row>
    <row r="41" spans="2:13" x14ac:dyDescent="0.2">
      <c r="B41" s="56" t="s">
        <v>28</v>
      </c>
      <c r="C41" s="1"/>
      <c r="D41" s="1"/>
      <c r="E41" s="1"/>
      <c r="H41" s="1">
        <v>1</v>
      </c>
      <c r="I41" s="1">
        <v>2</v>
      </c>
      <c r="J41" s="1">
        <v>3</v>
      </c>
      <c r="K41" s="1">
        <v>4</v>
      </c>
      <c r="L41" s="1">
        <v>5</v>
      </c>
      <c r="M41" s="9">
        <v>6</v>
      </c>
    </row>
    <row r="42" spans="2:13" x14ac:dyDescent="0.2">
      <c r="B42" s="57" t="s">
        <v>27</v>
      </c>
      <c r="C42" s="14"/>
      <c r="D42" s="14">
        <v>2021</v>
      </c>
      <c r="E42" s="14">
        <v>2022</v>
      </c>
      <c r="F42" s="14">
        <v>2023</v>
      </c>
      <c r="G42" s="10">
        <v>2024</v>
      </c>
      <c r="H42" s="14">
        <v>2025</v>
      </c>
      <c r="I42" s="14">
        <v>2026</v>
      </c>
      <c r="J42" s="14">
        <v>2027</v>
      </c>
      <c r="K42" s="14">
        <v>2028</v>
      </c>
      <c r="L42" s="14">
        <v>2029</v>
      </c>
      <c r="M42" s="10">
        <v>2030</v>
      </c>
    </row>
    <row r="43" spans="2:13" x14ac:dyDescent="0.2">
      <c r="B43" s="56" t="s">
        <v>10</v>
      </c>
      <c r="C43" s="1"/>
      <c r="D43" s="15">
        <f>D15</f>
        <v>5438400</v>
      </c>
      <c r="E43" s="15">
        <f t="shared" ref="E43:M43" si="18">E15</f>
        <v>6820900</v>
      </c>
      <c r="F43" s="15">
        <f t="shared" si="18"/>
        <v>8438700</v>
      </c>
      <c r="G43" s="11">
        <f t="shared" si="18"/>
        <v>7634400</v>
      </c>
      <c r="H43" s="15">
        <f t="shared" si="18"/>
        <v>6906758.5481176013</v>
      </c>
      <c r="I43" s="15">
        <f t="shared" si="18"/>
        <v>7818641.0374212582</v>
      </c>
      <c r="J43" s="15">
        <f t="shared" si="18"/>
        <v>8850917.1482053213</v>
      </c>
      <c r="K43" s="15">
        <f t="shared" si="18"/>
        <v>10019482.156739693</v>
      </c>
      <c r="L43" s="15">
        <f t="shared" si="18"/>
        <v>11342329.953860311</v>
      </c>
      <c r="M43" s="11">
        <f t="shared" si="18"/>
        <v>12839830.119932927</v>
      </c>
    </row>
    <row r="44" spans="2:13" x14ac:dyDescent="0.2">
      <c r="B44" s="56" t="s">
        <v>29</v>
      </c>
      <c r="C44" s="1"/>
      <c r="D44" s="1"/>
      <c r="E44" s="59">
        <f>E16</f>
        <v>0.25421079729332163</v>
      </c>
      <c r="F44" s="59">
        <f t="shared" ref="F44:M44" si="19">F16</f>
        <v>0.2371827764664487</v>
      </c>
      <c r="G44" s="21">
        <f t="shared" si="19"/>
        <v>-9.5310889117992126E-2</v>
      </c>
      <c r="H44" s="59">
        <f t="shared" si="19"/>
        <v>0.13202756154725939</v>
      </c>
      <c r="I44" s="59">
        <f t="shared" si="19"/>
        <v>0.13202756154725948</v>
      </c>
      <c r="J44" s="59">
        <f t="shared" si="19"/>
        <v>0.13202756154725948</v>
      </c>
      <c r="K44" s="59">
        <f t="shared" si="19"/>
        <v>0.13202756154725948</v>
      </c>
      <c r="L44" s="59">
        <f t="shared" si="19"/>
        <v>0.13202756154725948</v>
      </c>
      <c r="M44" s="21">
        <f t="shared" si="19"/>
        <v>0.13202756154725948</v>
      </c>
    </row>
    <row r="45" spans="2:13" x14ac:dyDescent="0.2">
      <c r="B45" s="56"/>
      <c r="C45" s="1"/>
      <c r="D45" s="1"/>
      <c r="E45" s="1"/>
      <c r="H45" s="1"/>
      <c r="I45" s="1"/>
      <c r="J45" s="1"/>
      <c r="K45" s="1"/>
      <c r="L45" s="1"/>
      <c r="M45" s="9"/>
    </row>
    <row r="46" spans="2:13" x14ac:dyDescent="0.2">
      <c r="B46" s="56" t="s">
        <v>12</v>
      </c>
      <c r="C46" s="1"/>
      <c r="D46" s="15">
        <f>D19</f>
        <v>679300</v>
      </c>
      <c r="E46" s="15">
        <f t="shared" ref="E46:M46" si="20">E19</f>
        <v>1728000</v>
      </c>
      <c r="F46" s="15">
        <f t="shared" si="20"/>
        <v>3104100</v>
      </c>
      <c r="G46" s="11">
        <f t="shared" si="20"/>
        <v>2556900</v>
      </c>
      <c r="H46" s="15">
        <f t="shared" si="20"/>
        <v>2313199.5876142061</v>
      </c>
      <c r="I46" s="15">
        <f t="shared" si="20"/>
        <v>2113000.1451098802</v>
      </c>
      <c r="J46" s="15">
        <f t="shared" si="20"/>
        <v>2713580.2770783775</v>
      </c>
      <c r="K46" s="15">
        <f t="shared" si="20"/>
        <v>3205228.1771563501</v>
      </c>
      <c r="L46" s="15">
        <f t="shared" si="20"/>
        <v>3492464.7473345483</v>
      </c>
      <c r="M46" s="11">
        <f t="shared" si="20"/>
        <v>3866884.5339517328</v>
      </c>
    </row>
    <row r="47" spans="2:13" x14ac:dyDescent="0.2">
      <c r="B47" s="56" t="s">
        <v>30</v>
      </c>
      <c r="C47" s="1"/>
      <c r="D47" s="59">
        <f>D20</f>
        <v>0.12490806119446896</v>
      </c>
      <c r="E47" s="59">
        <f t="shared" ref="E47:M47" si="21">E20</f>
        <v>0.25333900218446248</v>
      </c>
      <c r="F47" s="59">
        <f t="shared" si="21"/>
        <v>0.36784101816630521</v>
      </c>
      <c r="G47" s="21">
        <f t="shared" si="21"/>
        <v>0.33491826469663627</v>
      </c>
      <c r="H47" s="59">
        <f t="shared" si="21"/>
        <v>0.27025158656046822</v>
      </c>
      <c r="I47" s="59">
        <f t="shared" si="21"/>
        <v>0.30658746790196806</v>
      </c>
      <c r="J47" s="59">
        <f t="shared" si="21"/>
        <v>0.31989958433134441</v>
      </c>
      <c r="K47" s="59">
        <f t="shared" si="21"/>
        <v>0.3079142258726042</v>
      </c>
      <c r="L47" s="59">
        <f t="shared" si="21"/>
        <v>0.30116321616659619</v>
      </c>
      <c r="M47" s="21">
        <f t="shared" si="21"/>
        <v>0.3088911235681282</v>
      </c>
    </row>
    <row r="48" spans="2:13" x14ac:dyDescent="0.2">
      <c r="B48" s="56"/>
      <c r="C48" s="1"/>
      <c r="D48" s="1"/>
      <c r="E48" s="1"/>
      <c r="H48" s="1"/>
      <c r="I48" s="1"/>
      <c r="J48" s="1"/>
      <c r="K48" s="1"/>
      <c r="L48" s="1"/>
      <c r="M48" s="9"/>
    </row>
    <row r="49" spans="2:13" x14ac:dyDescent="0.2">
      <c r="B49" s="56" t="s">
        <v>13</v>
      </c>
      <c r="C49" s="1"/>
      <c r="D49" s="15">
        <f>D24</f>
        <v>-9900</v>
      </c>
      <c r="E49" s="15">
        <f t="shared" ref="E49:M49" si="22">E24</f>
        <v>197000</v>
      </c>
      <c r="F49" s="15">
        <f t="shared" si="22"/>
        <v>672000</v>
      </c>
      <c r="G49" s="11">
        <f t="shared" si="22"/>
        <v>459000</v>
      </c>
      <c r="H49" s="15">
        <f t="shared" si="22"/>
        <v>439507.92164669919</v>
      </c>
      <c r="I49" s="15">
        <f t="shared" si="22"/>
        <v>485990.03337527247</v>
      </c>
      <c r="J49" s="15">
        <f t="shared" si="22"/>
        <v>624123.46372802684</v>
      </c>
      <c r="K49" s="15">
        <f t="shared" si="22"/>
        <v>737202.48074596061</v>
      </c>
      <c r="L49" s="15">
        <f t="shared" si="22"/>
        <v>803266.89188694616</v>
      </c>
      <c r="M49" s="11">
        <f t="shared" si="22"/>
        <v>889383.44280889863</v>
      </c>
    </row>
    <row r="50" spans="2:13" x14ac:dyDescent="0.2">
      <c r="B50" s="56" t="s">
        <v>31</v>
      </c>
      <c r="C50" s="1"/>
      <c r="D50" s="59">
        <f>D26</f>
        <v>-1.4573825997350213E-2</v>
      </c>
      <c r="E50" s="59">
        <f t="shared" ref="E50:M50" si="23">E26</f>
        <v>0.11400462962962964</v>
      </c>
      <c r="F50" s="59">
        <f t="shared" si="23"/>
        <v>0.21648787088044844</v>
      </c>
      <c r="G50" s="21">
        <f t="shared" si="23"/>
        <v>0.17951425554382261</v>
      </c>
      <c r="H50" s="59">
        <f t="shared" si="23"/>
        <v>0.12385823251413762</v>
      </c>
      <c r="I50" s="59">
        <f t="shared" si="23"/>
        <v>0.15846624714200958</v>
      </c>
      <c r="J50" s="59">
        <f t="shared" si="23"/>
        <v>0.16958165152010457</v>
      </c>
      <c r="K50" s="59">
        <f t="shared" si="23"/>
        <v>0.1578550966800186</v>
      </c>
      <c r="L50" s="59">
        <f t="shared" si="23"/>
        <v>0.1524403069640676</v>
      </c>
      <c r="M50" s="21">
        <f t="shared" si="23"/>
        <v>0.1595858255765501</v>
      </c>
    </row>
    <row r="51" spans="2:13" x14ac:dyDescent="0.2">
      <c r="B51" s="56"/>
      <c r="C51" s="1"/>
      <c r="D51" s="1"/>
      <c r="E51" s="1"/>
      <c r="H51" s="1"/>
      <c r="I51" s="1"/>
      <c r="J51" s="1"/>
      <c r="K51" s="1"/>
      <c r="L51" s="1"/>
      <c r="M51" s="9"/>
    </row>
    <row r="52" spans="2:13" x14ac:dyDescent="0.2">
      <c r="B52" s="23" t="s">
        <v>32</v>
      </c>
      <c r="C52" s="23"/>
      <c r="D52" s="23"/>
      <c r="E52" s="23"/>
      <c r="F52" s="23"/>
      <c r="G52" s="23"/>
      <c r="H52" s="24">
        <f>H46-H49</f>
        <v>1873691.6659675068</v>
      </c>
      <c r="I52" s="24">
        <f t="shared" ref="I52:M52" si="24">I46-I49</f>
        <v>1627010.1117346077</v>
      </c>
      <c r="J52" s="24">
        <f t="shared" si="24"/>
        <v>2089456.8133503506</v>
      </c>
      <c r="K52" s="24">
        <f t="shared" si="24"/>
        <v>2468025.6964103896</v>
      </c>
      <c r="L52" s="24">
        <f t="shared" si="24"/>
        <v>2689197.855447602</v>
      </c>
      <c r="M52" s="24">
        <f t="shared" si="24"/>
        <v>2977501.0911428342</v>
      </c>
    </row>
    <row r="53" spans="2:13" x14ac:dyDescent="0.2">
      <c r="B53" s="25" t="s">
        <v>33</v>
      </c>
      <c r="C53" s="1"/>
      <c r="D53" s="1"/>
      <c r="E53" s="1"/>
      <c r="H53" s="1"/>
      <c r="I53" s="1"/>
      <c r="J53" s="1"/>
      <c r="K53" s="1"/>
      <c r="L53" s="1"/>
      <c r="M53" s="9"/>
    </row>
    <row r="54" spans="2:13" x14ac:dyDescent="0.2">
      <c r="B54" s="56"/>
      <c r="C54" s="1"/>
      <c r="D54" s="1"/>
      <c r="E54" s="1"/>
      <c r="H54" s="1"/>
      <c r="I54" s="1"/>
      <c r="J54" s="1"/>
      <c r="K54" s="1"/>
      <c r="L54" s="1"/>
      <c r="M54" s="9"/>
    </row>
    <row r="55" spans="2:13" x14ac:dyDescent="0.2">
      <c r="B55" s="56" t="s">
        <v>36</v>
      </c>
      <c r="C55" s="1"/>
      <c r="D55" s="15">
        <f>D29</f>
        <v>1153300</v>
      </c>
      <c r="E55" s="15">
        <f t="shared" ref="E55:M55" si="25">E29</f>
        <v>1143500</v>
      </c>
      <c r="F55" s="15">
        <f t="shared" si="25"/>
        <v>998400</v>
      </c>
      <c r="G55" s="15">
        <f t="shared" si="25"/>
        <v>879500</v>
      </c>
      <c r="H55" s="15">
        <f t="shared" si="25"/>
        <v>1058852.4502659817</v>
      </c>
      <c r="I55" s="15">
        <f t="shared" si="25"/>
        <v>1083795.6186192413</v>
      </c>
      <c r="J55" s="15">
        <f t="shared" si="25"/>
        <v>1162651.8226239693</v>
      </c>
      <c r="K55" s="15">
        <f t="shared" si="25"/>
        <v>1348835.9853702676</v>
      </c>
      <c r="L55" s="15">
        <f t="shared" si="25"/>
        <v>1581983.9278952084</v>
      </c>
      <c r="M55" s="11">
        <f t="shared" si="25"/>
        <v>1746453.7226935453</v>
      </c>
    </row>
    <row r="56" spans="2:13" x14ac:dyDescent="0.2">
      <c r="B56" s="56" t="s">
        <v>37</v>
      </c>
      <c r="C56" s="1"/>
      <c r="D56" s="59">
        <f>D30</f>
        <v>0.21206604883789351</v>
      </c>
      <c r="E56" s="59">
        <f t="shared" ref="E56:M56" si="26">E30</f>
        <v>0.16764649826269259</v>
      </c>
      <c r="F56" s="59">
        <f t="shared" si="26"/>
        <v>0.11831206228447509</v>
      </c>
      <c r="G56" s="59">
        <f t="shared" si="26"/>
        <v>0.11520224248139999</v>
      </c>
      <c r="H56" s="59">
        <f t="shared" si="26"/>
        <v>0.1533067129666153</v>
      </c>
      <c r="I56" s="59">
        <f t="shared" si="26"/>
        <v>0.13861687899879574</v>
      </c>
      <c r="J56" s="59">
        <f t="shared" si="26"/>
        <v>0.13135947418282154</v>
      </c>
      <c r="K56" s="59">
        <f t="shared" si="26"/>
        <v>0.13462132715740815</v>
      </c>
      <c r="L56" s="59">
        <f t="shared" si="26"/>
        <v>0.1394760983264102</v>
      </c>
      <c r="M56" s="21">
        <f t="shared" si="26"/>
        <v>0.1360184446663589</v>
      </c>
    </row>
    <row r="57" spans="2:13" x14ac:dyDescent="0.2">
      <c r="B57" s="56"/>
      <c r="C57" s="1"/>
      <c r="D57" s="1"/>
      <c r="E57" s="1"/>
      <c r="H57" s="1"/>
      <c r="I57" s="1"/>
      <c r="J57" s="1"/>
      <c r="K57" s="1"/>
      <c r="L57" s="1"/>
      <c r="M57" s="9"/>
    </row>
    <row r="58" spans="2:13" x14ac:dyDescent="0.2">
      <c r="B58" s="56" t="s">
        <v>38</v>
      </c>
      <c r="C58" s="1"/>
      <c r="D58" s="15">
        <f>D32</f>
        <v>-92600</v>
      </c>
      <c r="E58" s="15">
        <f t="shared" ref="E58:M58" si="27">E32</f>
        <v>-370100</v>
      </c>
      <c r="F58" s="15">
        <f t="shared" si="27"/>
        <v>-486200</v>
      </c>
      <c r="G58" s="15">
        <f t="shared" si="27"/>
        <v>-285100</v>
      </c>
      <c r="H58" s="15">
        <f t="shared" si="27"/>
        <v>287055.94413030095</v>
      </c>
      <c r="I58" s="15">
        <f t="shared" si="27"/>
        <v>372911.91980008403</v>
      </c>
      <c r="J58" s="15">
        <f t="shared" si="27"/>
        <v>407621.18277693557</v>
      </c>
      <c r="K58" s="15">
        <f t="shared" si="27"/>
        <v>432478.62462604011</v>
      </c>
      <c r="L58" s="15">
        <f t="shared" si="27"/>
        <v>506079.8021796564</v>
      </c>
      <c r="M58" s="11">
        <f t="shared" si="27"/>
        <v>582709.38088957127</v>
      </c>
    </row>
    <row r="59" spans="2:13" x14ac:dyDescent="0.2">
      <c r="B59" s="56" t="s">
        <v>14</v>
      </c>
      <c r="C59" s="1"/>
      <c r="D59" s="59">
        <f>D33</f>
        <v>1.7027066784348337E-2</v>
      </c>
      <c r="E59" s="59">
        <f t="shared" ref="E59:M59" si="28">E33</f>
        <v>5.4259701798882842E-2</v>
      </c>
      <c r="F59" s="59">
        <f t="shared" si="28"/>
        <v>5.7615509497908446E-2</v>
      </c>
      <c r="G59" s="59">
        <f t="shared" si="28"/>
        <v>3.7344126584931366E-2</v>
      </c>
      <c r="H59" s="59">
        <f t="shared" si="28"/>
        <v>4.1561601166517748E-2</v>
      </c>
      <c r="I59" s="59">
        <f t="shared" si="28"/>
        <v>4.7695234762060099E-2</v>
      </c>
      <c r="J59" s="59">
        <f t="shared" si="28"/>
        <v>4.6054118002854416E-2</v>
      </c>
      <c r="K59" s="59">
        <f t="shared" si="28"/>
        <v>4.3163770129090909E-2</v>
      </c>
      <c r="L59" s="59">
        <f t="shared" si="28"/>
        <v>4.4618681015130793E-2</v>
      </c>
      <c r="M59" s="21">
        <f t="shared" si="28"/>
        <v>4.5382950977284051E-2</v>
      </c>
    </row>
    <row r="60" spans="2:13" x14ac:dyDescent="0.2">
      <c r="B60" s="56"/>
      <c r="C60" s="1"/>
      <c r="D60" s="1"/>
      <c r="E60" s="1"/>
      <c r="H60" s="1"/>
      <c r="I60" s="1"/>
      <c r="J60" s="1"/>
      <c r="K60" s="1"/>
      <c r="L60" s="1"/>
      <c r="M60" s="9"/>
    </row>
    <row r="61" spans="2:13" x14ac:dyDescent="0.2">
      <c r="B61" s="56" t="s">
        <v>39</v>
      </c>
      <c r="C61" s="1"/>
      <c r="D61" s="15">
        <f>D38</f>
        <v>-264400</v>
      </c>
      <c r="E61" s="15">
        <f t="shared" ref="E61:M61" si="29">E38</f>
        <v>1053600</v>
      </c>
      <c r="F61" s="15">
        <f t="shared" si="29"/>
        <v>-49300</v>
      </c>
      <c r="G61" s="15">
        <f t="shared" si="29"/>
        <v>493600</v>
      </c>
      <c r="H61" s="15">
        <f t="shared" si="29"/>
        <v>284319.76786526263</v>
      </c>
      <c r="I61" s="15">
        <f t="shared" si="29"/>
        <v>497352.4545558705</v>
      </c>
      <c r="J61" s="15">
        <f t="shared" si="29"/>
        <v>361978.48790592258</v>
      </c>
      <c r="K61" s="15">
        <f t="shared" si="29"/>
        <v>526845.81578400021</v>
      </c>
      <c r="L61" s="15">
        <f t="shared" si="29"/>
        <v>562171.18627121253</v>
      </c>
      <c r="M61" s="11">
        <f t="shared" si="29"/>
        <v>663352.27619349386</v>
      </c>
    </row>
    <row r="62" spans="2:13" x14ac:dyDescent="0.2">
      <c r="B62" s="56" t="s">
        <v>14</v>
      </c>
      <c r="C62" s="1"/>
      <c r="D62" s="59">
        <f>D39</f>
        <v>-4.8617240364813179E-2</v>
      </c>
      <c r="E62" s="59">
        <f t="shared" ref="E62:M62" si="30">E39</f>
        <v>0.15446641938747085</v>
      </c>
      <c r="F62" s="59">
        <f t="shared" si="30"/>
        <v>-5.8421320819557511E-3</v>
      </c>
      <c r="G62" s="59">
        <f t="shared" si="30"/>
        <v>6.4654720737713514E-2</v>
      </c>
      <c r="H62" s="59">
        <f t="shared" si="30"/>
        <v>4.1165441919603862E-2</v>
      </c>
      <c r="I62" s="59">
        <f t="shared" si="30"/>
        <v>6.3611112490708124E-2</v>
      </c>
      <c r="J62" s="59">
        <f t="shared" si="30"/>
        <v>4.0897285766517438E-2</v>
      </c>
      <c r="K62" s="59">
        <f t="shared" si="30"/>
        <v>5.2582140228635735E-2</v>
      </c>
      <c r="L62" s="59">
        <f t="shared" si="30"/>
        <v>4.956399510136629E-2</v>
      </c>
      <c r="M62" s="21">
        <f t="shared" si="30"/>
        <v>5.1663633396806893E-2</v>
      </c>
    </row>
    <row r="63" spans="2:13" x14ac:dyDescent="0.2">
      <c r="B63" s="56"/>
      <c r="C63" s="1"/>
      <c r="D63" s="1"/>
      <c r="E63" s="1"/>
      <c r="H63" s="1"/>
      <c r="I63" s="1"/>
      <c r="J63" s="1"/>
      <c r="K63" s="1"/>
      <c r="L63" s="1"/>
      <c r="M63" s="9"/>
    </row>
    <row r="64" spans="2:13" x14ac:dyDescent="0.2">
      <c r="B64" s="26" t="s">
        <v>40</v>
      </c>
      <c r="C64" s="27"/>
      <c r="D64" s="27"/>
      <c r="E64" s="27"/>
      <c r="F64" s="27"/>
      <c r="G64" s="28"/>
      <c r="H64" s="24">
        <f>H52+H55-H58-H61</f>
        <v>2361168.4042379251</v>
      </c>
      <c r="I64" s="24">
        <f t="shared" ref="I64:M64" si="31">I52+I55-I58-I61</f>
        <v>1840541.3559978944</v>
      </c>
      <c r="J64" s="24">
        <f t="shared" si="31"/>
        <v>2482508.9652914619</v>
      </c>
      <c r="K64" s="24">
        <f t="shared" si="31"/>
        <v>2857537.2413706169</v>
      </c>
      <c r="L64" s="24">
        <f t="shared" si="31"/>
        <v>3202930.7948919414</v>
      </c>
      <c r="M64" s="24">
        <f t="shared" si="31"/>
        <v>3477893.1567533137</v>
      </c>
    </row>
    <row r="65" spans="2:13" x14ac:dyDescent="0.2">
      <c r="B65" s="30" t="s">
        <v>41</v>
      </c>
      <c r="C65" s="31"/>
      <c r="D65" s="31"/>
      <c r="E65" s="31"/>
      <c r="F65" s="31"/>
      <c r="G65" s="32"/>
      <c r="H65" s="50">
        <f>H64*(1-WACC!$B$26)^H41</f>
        <v>2182231.3535508378</v>
      </c>
      <c r="I65" s="50">
        <f>I64*(1-WACC!$B$26)^I41</f>
        <v>1572147.3086881356</v>
      </c>
      <c r="J65" s="50">
        <f>J64*(1-WACC!$B$26)^J41</f>
        <v>1959802.5122914494</v>
      </c>
      <c r="K65" s="50">
        <f>K64*(1-WACC!$B$26)^K41</f>
        <v>2084909.5170088625</v>
      </c>
      <c r="L65" s="50">
        <f>L64*(1-WACC!$B$26)^L41</f>
        <v>2159815.7102477476</v>
      </c>
      <c r="M65" s="60">
        <f>M64*(1-WACC!$B$26)^M41</f>
        <v>2167500.4934488744</v>
      </c>
    </row>
    <row r="66" spans="2:13" x14ac:dyDescent="0.2">
      <c r="F66" s="61" t="s">
        <v>64</v>
      </c>
      <c r="G66" s="62"/>
      <c r="H66" s="63">
        <f>SUM(H65:M65)</f>
        <v>12126406.895235905</v>
      </c>
      <c r="I66" s="51"/>
      <c r="J66" s="51"/>
      <c r="K66" s="51"/>
      <c r="L66" s="51"/>
      <c r="M66" s="51"/>
    </row>
    <row r="67" spans="2:13" x14ac:dyDescent="0.2">
      <c r="F67" s="56" t="s">
        <v>65</v>
      </c>
      <c r="H67" s="11">
        <f>M64*(1+C7)/(0.08-0.03)</f>
        <v>71644599.029118255</v>
      </c>
    </row>
    <row r="68" spans="2:13" x14ac:dyDescent="0.2">
      <c r="F68" s="56" t="s">
        <v>67</v>
      </c>
      <c r="H68" s="11">
        <f>H67*(1-0.08)^L41</f>
        <v>47219631.457164511</v>
      </c>
    </row>
    <row r="69" spans="2:13" x14ac:dyDescent="0.2">
      <c r="F69" s="64" t="s">
        <v>68</v>
      </c>
      <c r="H69" s="11">
        <f>SUM(H68,H66)</f>
        <v>59346038.352400415</v>
      </c>
    </row>
    <row r="70" spans="2:13" x14ac:dyDescent="0.2">
      <c r="F70" s="64" t="s">
        <v>69</v>
      </c>
      <c r="H70" s="11">
        <v>234000</v>
      </c>
    </row>
    <row r="71" spans="2:13" x14ac:dyDescent="0.2">
      <c r="F71" s="64" t="s">
        <v>70</v>
      </c>
      <c r="H71" s="11">
        <v>6032400</v>
      </c>
    </row>
    <row r="72" spans="2:13" x14ac:dyDescent="0.2">
      <c r="F72" s="64" t="s">
        <v>44</v>
      </c>
      <c r="H72" s="11">
        <f>H69+H70-H71</f>
        <v>53547638.352400415</v>
      </c>
    </row>
    <row r="73" spans="2:13" x14ac:dyDescent="0.2">
      <c r="F73" s="64" t="s">
        <v>71</v>
      </c>
      <c r="H73" s="9">
        <v>577806</v>
      </c>
    </row>
    <row r="74" spans="2:13" x14ac:dyDescent="0.2">
      <c r="F74" s="65" t="s">
        <v>72</v>
      </c>
      <c r="G74" s="29"/>
      <c r="H74" s="66">
        <f>H72/H73</f>
        <v>92.67407806841814</v>
      </c>
    </row>
  </sheetData>
  <mergeCells count="4">
    <mergeCell ref="C12:G13"/>
    <mergeCell ref="H12:M13"/>
    <mergeCell ref="B64:G64"/>
    <mergeCell ref="B65:G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01EE-DCA7-E94B-B49C-6436AB9194A4}">
  <dimension ref="A1:O27"/>
  <sheetViews>
    <sheetView workbookViewId="0">
      <selection activeCell="B11" sqref="B11:B12"/>
    </sheetView>
  </sheetViews>
  <sheetFormatPr baseColWidth="10" defaultRowHeight="16" x14ac:dyDescent="0.2"/>
  <cols>
    <col min="1" max="1" width="47.33203125" customWidth="1"/>
    <col min="2" max="2" width="22.1640625" customWidth="1"/>
  </cols>
  <sheetData>
    <row r="1" spans="1:15" x14ac:dyDescent="0.2">
      <c r="A1" s="33" t="s">
        <v>7</v>
      </c>
      <c r="B1" s="34"/>
      <c r="C1" s="34"/>
      <c r="D1" s="34"/>
      <c r="E1" s="34"/>
      <c r="F1" s="34"/>
      <c r="G1" s="34"/>
    </row>
    <row r="2" spans="1:15" x14ac:dyDescent="0.2">
      <c r="A2" s="35" t="s">
        <v>42</v>
      </c>
    </row>
    <row r="3" spans="1:15" x14ac:dyDescent="0.2">
      <c r="A3" s="35" t="s">
        <v>43</v>
      </c>
    </row>
    <row r="5" spans="1:15" x14ac:dyDescent="0.2">
      <c r="A5" s="22" t="s">
        <v>45</v>
      </c>
      <c r="B5" s="22"/>
      <c r="C5" s="22"/>
      <c r="D5" s="22"/>
    </row>
    <row r="6" spans="1:15" x14ac:dyDescent="0.2">
      <c r="A6" s="22"/>
      <c r="B6" s="22"/>
      <c r="C6" s="22"/>
      <c r="D6" s="22"/>
    </row>
    <row r="7" spans="1:15" ht="95" customHeight="1" x14ac:dyDescent="0.2">
      <c r="A7" s="39" t="s">
        <v>46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x14ac:dyDescent="0.2">
      <c r="A8" s="39" t="s">
        <v>47</v>
      </c>
      <c r="B8" s="40">
        <v>0.02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5" x14ac:dyDescent="0.2">
      <c r="A9" s="39" t="s">
        <v>48</v>
      </c>
      <c r="B9" s="39">
        <v>1.55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5" x14ac:dyDescent="0.2">
      <c r="A10" s="39" t="s">
        <v>49</v>
      </c>
      <c r="B10" s="40">
        <v>0.06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15" x14ac:dyDescent="0.2">
      <c r="A11" s="41" t="s">
        <v>50</v>
      </c>
      <c r="B11" s="42">
        <f>B8+B9*(B10-B8)</f>
        <v>8.199999999999999E-2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15" x14ac:dyDescent="0.2">
      <c r="A12" s="43" t="s">
        <v>51</v>
      </c>
      <c r="B12" s="44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5" x14ac:dyDescent="0.2">
      <c r="A13" s="45" t="s">
        <v>52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x14ac:dyDescent="0.2">
      <c r="A14" s="46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 x14ac:dyDescent="0.2">
      <c r="A15" s="39" t="s">
        <v>53</v>
      </c>
      <c r="B15" s="47">
        <v>191000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x14ac:dyDescent="0.2">
      <c r="A16" s="39" t="s">
        <v>54</v>
      </c>
      <c r="B16" s="47">
        <v>6032400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x14ac:dyDescent="0.2">
      <c r="A17" s="39" t="s">
        <v>55</v>
      </c>
      <c r="B17" s="40">
        <v>0.21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x14ac:dyDescent="0.2">
      <c r="A18" s="39" t="s">
        <v>56</v>
      </c>
      <c r="B18" s="39">
        <f>B15/B16</f>
        <v>3.1662356607652015E-2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x14ac:dyDescent="0.2">
      <c r="A19" s="36" t="s">
        <v>57</v>
      </c>
      <c r="B19" s="37">
        <f>B18*(1-B17)</f>
        <v>2.5013261720045091E-2</v>
      </c>
      <c r="C19" s="38"/>
    </row>
    <row r="20" spans="1:15" x14ac:dyDescent="0.2">
      <c r="A20" s="27" t="s">
        <v>58</v>
      </c>
    </row>
    <row r="21" spans="1:15" x14ac:dyDescent="0.2">
      <c r="A21" s="22"/>
    </row>
    <row r="22" spans="1:15" x14ac:dyDescent="0.2">
      <c r="A22" s="48" t="s">
        <v>59</v>
      </c>
      <c r="B22" s="8">
        <v>49000000000</v>
      </c>
    </row>
    <row r="23" spans="1:15" x14ac:dyDescent="0.2">
      <c r="A23" s="48" t="s">
        <v>60</v>
      </c>
      <c r="B23" s="8">
        <v>6000000000</v>
      </c>
    </row>
    <row r="24" spans="1:15" x14ac:dyDescent="0.2">
      <c r="A24" s="48" t="s">
        <v>61</v>
      </c>
      <c r="B24">
        <f>B22/(B22+B23)</f>
        <v>0.89090909090909087</v>
      </c>
    </row>
    <row r="25" spans="1:15" x14ac:dyDescent="0.2">
      <c r="A25" s="48" t="s">
        <v>62</v>
      </c>
      <c r="B25">
        <f>B23/(B22+B23)</f>
        <v>0.10909090909090909</v>
      </c>
    </row>
    <row r="26" spans="1:15" x14ac:dyDescent="0.2">
      <c r="A26" s="22" t="s">
        <v>63</v>
      </c>
      <c r="B26" s="49">
        <f>B24*B11+B25*B19</f>
        <v>7.5783264914913995E-2</v>
      </c>
    </row>
    <row r="27" spans="1:15" x14ac:dyDescent="0.2">
      <c r="A27" s="22"/>
      <c r="B27" s="49"/>
    </row>
  </sheetData>
  <mergeCells count="6">
    <mergeCell ref="A20:A21"/>
    <mergeCell ref="A26:A27"/>
    <mergeCell ref="B26:B27"/>
    <mergeCell ref="A5:D6"/>
    <mergeCell ref="B11:B12"/>
    <mergeCell ref="A13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DCF</vt:lpstr>
      <vt:lpstr>WACC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Femi Dada</dc:creator>
  <cp:lastModifiedBy>Femi Dada</cp:lastModifiedBy>
  <dcterms:created xsi:type="dcterms:W3CDTF">2024-06-16T06:54:10Z</dcterms:created>
  <dcterms:modified xsi:type="dcterms:W3CDTF">2024-06-17T04:57:39Z</dcterms:modified>
</cp:coreProperties>
</file>